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V22" i="1"/>
  <c r="Z21"/>
  <c r="T22"/>
  <c r="P22"/>
  <c r="L22"/>
  <c r="H22"/>
  <c r="D22"/>
  <c r="V18"/>
  <c r="X16"/>
  <c r="T16"/>
  <c r="R16"/>
  <c r="P16"/>
  <c r="N16"/>
  <c r="L16"/>
  <c r="J16"/>
  <c r="H16"/>
  <c r="F16"/>
  <c r="D16"/>
  <c r="B16"/>
  <c r="X15"/>
  <c r="T15"/>
  <c r="T18" s="1"/>
  <c r="R15"/>
  <c r="P15"/>
  <c r="P18" s="1"/>
  <c r="N15"/>
  <c r="L15"/>
  <c r="L18" s="1"/>
  <c r="J15"/>
  <c r="H15"/>
  <c r="H18" s="1"/>
  <c r="F15"/>
  <c r="D15"/>
  <c r="D18" s="1"/>
  <c r="B15"/>
  <c r="X13"/>
  <c r="T13"/>
  <c r="R13"/>
  <c r="P13"/>
  <c r="N13"/>
  <c r="L13"/>
  <c r="J13"/>
  <c r="H13"/>
  <c r="F13"/>
  <c r="D13"/>
  <c r="B13"/>
  <c r="X12"/>
  <c r="V14"/>
  <c r="T12"/>
  <c r="R12"/>
  <c r="P12"/>
  <c r="N12"/>
  <c r="L12"/>
  <c r="J12"/>
  <c r="H12"/>
  <c r="F12"/>
  <c r="D12"/>
  <c r="B12"/>
  <c r="Z12" s="1"/>
  <c r="X11"/>
  <c r="X14" s="1"/>
  <c r="T11"/>
  <c r="T14" s="1"/>
  <c r="R11"/>
  <c r="P11"/>
  <c r="P14" s="1"/>
  <c r="N11"/>
  <c r="L11"/>
  <c r="L14" s="1"/>
  <c r="J11"/>
  <c r="H11"/>
  <c r="H14" s="1"/>
  <c r="F11"/>
  <c r="D11"/>
  <c r="D14" s="1"/>
  <c r="B11"/>
  <c r="V10"/>
  <c r="X9"/>
  <c r="T9"/>
  <c r="R9"/>
  <c r="P9"/>
  <c r="N9"/>
  <c r="L9"/>
  <c r="J9"/>
  <c r="H9"/>
  <c r="F9"/>
  <c r="D9"/>
  <c r="B9"/>
  <c r="X8"/>
  <c r="T8"/>
  <c r="R8"/>
  <c r="P8"/>
  <c r="N8"/>
  <c r="L8"/>
  <c r="J8"/>
  <c r="H8"/>
  <c r="F8"/>
  <c r="D8"/>
  <c r="B8"/>
  <c r="X7"/>
  <c r="T7"/>
  <c r="T10" s="1"/>
  <c r="R7"/>
  <c r="P7"/>
  <c r="P10" s="1"/>
  <c r="N7"/>
  <c r="L7"/>
  <c r="L10" s="1"/>
  <c r="J7"/>
  <c r="H7"/>
  <c r="H10" s="1"/>
  <c r="F7"/>
  <c r="D7"/>
  <c r="D10" s="1"/>
  <c r="B7"/>
  <c r="B14" l="1"/>
  <c r="F14"/>
  <c r="J14"/>
  <c r="N14"/>
  <c r="R14"/>
  <c r="B18"/>
  <c r="F18"/>
  <c r="J18"/>
  <c r="N18"/>
  <c r="R18"/>
  <c r="X18"/>
  <c r="Z17"/>
  <c r="B22"/>
  <c r="F22"/>
  <c r="J22"/>
  <c r="N22"/>
  <c r="R22"/>
  <c r="X22"/>
  <c r="Z13"/>
  <c r="F10"/>
  <c r="F23" s="1"/>
  <c r="N10"/>
  <c r="Z9"/>
  <c r="Z16"/>
  <c r="Z20"/>
  <c r="B10"/>
  <c r="J10"/>
  <c r="R10"/>
  <c r="X10"/>
  <c r="X23" s="1"/>
  <c r="V23"/>
  <c r="Z18"/>
  <c r="D23"/>
  <c r="H23"/>
  <c r="L23"/>
  <c r="P23"/>
  <c r="T23"/>
  <c r="Z14"/>
  <c r="Z8"/>
  <c r="Z11"/>
  <c r="Z15"/>
  <c r="Z7"/>
  <c r="Z19"/>
  <c r="R23" l="1"/>
  <c r="J23"/>
  <c r="Z22"/>
  <c r="B23"/>
  <c r="N23"/>
  <c r="Z10"/>
  <c r="Z23" l="1"/>
</calcChain>
</file>

<file path=xl/sharedStrings.xml><?xml version="1.0" encoding="utf-8"?>
<sst xmlns="http://schemas.openxmlformats.org/spreadsheetml/2006/main" count="36" uniqueCount="23">
  <si>
    <t>SITUAȚIE STOMATOLOGI SUME CONTRACTATE ȘI PLĂTITE PENTRU AN 2022</t>
  </si>
  <si>
    <t>LUNA</t>
  </si>
  <si>
    <t>DENUMIRE FURNIZOR</t>
  </si>
  <si>
    <t>TOTAL</t>
  </si>
  <si>
    <t>CROITORU VICTORIA - specialist urban</t>
  </si>
  <si>
    <t>POPOVSCHI ARISTIDE - primar urban</t>
  </si>
  <si>
    <t>FILIP MARIA - primar urban</t>
  </si>
  <si>
    <t>CIUDIN SILVIU-MIHAI - dentist rural</t>
  </si>
  <si>
    <t>CARASTOIAN MARIANA THALIDA - dentist rural</t>
  </si>
  <si>
    <t>IOSIF - NEGOITA VIORICA - dentist rural</t>
  </si>
  <si>
    <t>MARINESCU LIDIA - dentist rural</t>
  </si>
  <si>
    <t>RASPOP KETTY SILVIA - dentist rural</t>
  </si>
  <si>
    <t>VASILE CRISTIAN - dentist rural</t>
  </si>
  <si>
    <t>SPLENDENT - Dr.Petcu Georgiana - dentist rural</t>
  </si>
  <si>
    <t>CMI Gabriel RUSU- dentist rural</t>
  </si>
  <si>
    <t>S.C.INTERDENTAL - Dr.Ion Irina Madalina Dr.Tudor Mihai Adrian - dentist urban</t>
  </si>
  <si>
    <t>CONTRACT</t>
  </si>
  <si>
    <t>TRIM.I 2022</t>
  </si>
  <si>
    <t>TRIM.II 2022</t>
  </si>
  <si>
    <t>TRIM.III 2022</t>
  </si>
  <si>
    <t>TOTAL TRIM IV 2022</t>
  </si>
  <si>
    <t>TOTAL AN  2022</t>
  </si>
  <si>
    <t xml:space="preserve"> mai 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</si>
</sst>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FF00FF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rgb="FFFF0000"/>
      <name val="Arial"/>
      <family val="2"/>
    </font>
    <font>
      <sz val="10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1" fillId="2" borderId="0" xfId="0" applyNumberFormat="1" applyFont="1" applyFill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17" fontId="0" fillId="0" borderId="6" xfId="0" applyNumberFormat="1" applyBorder="1"/>
    <xf numFmtId="4" fontId="7" fillId="0" borderId="6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4" fontId="1" fillId="3" borderId="6" xfId="0" applyNumberFormat="1" applyFont="1" applyFill="1" applyBorder="1" applyAlignment="1">
      <alignment horizontal="center" wrapText="1"/>
    </xf>
    <xf numFmtId="4" fontId="1" fillId="4" borderId="6" xfId="0" applyNumberFormat="1" applyFont="1" applyFill="1" applyBorder="1" applyAlignment="1">
      <alignment horizontal="center" wrapText="1"/>
    </xf>
    <xf numFmtId="4" fontId="5" fillId="4" borderId="6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17" fontId="1" fillId="3" borderId="6" xfId="0" applyNumberFormat="1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3"/>
  <sheetViews>
    <sheetView tabSelected="1" workbookViewId="0">
      <selection activeCell="X22" sqref="X22"/>
    </sheetView>
  </sheetViews>
  <sheetFormatPr defaultRowHeight="15"/>
  <cols>
    <col min="1" max="1" width="15.140625" customWidth="1"/>
    <col min="2" max="2" width="15.85546875" customWidth="1"/>
    <col min="3" max="3" width="0.42578125" hidden="1" customWidth="1"/>
    <col min="4" max="4" width="13.140625" customWidth="1"/>
    <col min="5" max="5" width="9.140625" hidden="1" customWidth="1"/>
    <col min="6" max="6" width="12.28515625" customWidth="1"/>
    <col min="7" max="7" width="9.140625" hidden="1" customWidth="1"/>
    <col min="8" max="8" width="12.85546875" customWidth="1"/>
    <col min="9" max="9" width="0.28515625" hidden="1" customWidth="1"/>
    <col min="10" max="10" width="16.140625" customWidth="1"/>
    <col min="11" max="11" width="0.42578125" hidden="1" customWidth="1"/>
    <col min="12" max="12" width="12.28515625" customWidth="1"/>
    <col min="13" max="13" width="0.140625" customWidth="1"/>
    <col min="14" max="14" width="12.85546875" customWidth="1"/>
    <col min="15" max="15" width="9.140625" hidden="1" customWidth="1"/>
    <col min="16" max="16" width="12.28515625" customWidth="1"/>
    <col min="17" max="17" width="9.140625" hidden="1" customWidth="1"/>
    <col min="18" max="18" width="18.42578125" customWidth="1"/>
    <col min="19" max="19" width="0.140625" customWidth="1"/>
    <col min="20" max="20" width="13.5703125" customWidth="1"/>
    <col min="21" max="21" width="0.140625" customWidth="1"/>
    <col min="22" max="22" width="15.28515625" customWidth="1"/>
    <col min="23" max="23" width="0.42578125" hidden="1" customWidth="1"/>
    <col min="24" max="24" width="18.7109375" customWidth="1"/>
    <col min="25" max="25" width="2.5703125" hidden="1" customWidth="1"/>
    <col min="26" max="26" width="15.5703125" customWidth="1"/>
    <col min="27" max="27" width="1.28515625" hidden="1" customWidth="1"/>
  </cols>
  <sheetData>
    <row r="1" spans="1:27">
      <c r="A1" s="1"/>
    </row>
    <row r="2" spans="1:27">
      <c r="A2" s="2" t="s">
        <v>0</v>
      </c>
    </row>
    <row r="3" spans="1:27">
      <c r="B3">
        <v>1</v>
      </c>
      <c r="D3">
        <v>2</v>
      </c>
      <c r="F3">
        <v>3</v>
      </c>
      <c r="H3">
        <v>4</v>
      </c>
      <c r="J3">
        <v>5</v>
      </c>
      <c r="L3">
        <v>6</v>
      </c>
      <c r="N3">
        <v>7</v>
      </c>
      <c r="P3">
        <v>8</v>
      </c>
      <c r="R3">
        <v>9</v>
      </c>
      <c r="T3">
        <v>10</v>
      </c>
      <c r="V3">
        <v>11</v>
      </c>
      <c r="X3">
        <v>12</v>
      </c>
    </row>
    <row r="4" spans="1:27" ht="21" customHeight="1">
      <c r="A4" s="34" t="s">
        <v>1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39" t="s">
        <v>3</v>
      </c>
      <c r="AA4" s="39"/>
    </row>
    <row r="5" spans="1:27" ht="64.5" customHeight="1">
      <c r="A5" s="35"/>
      <c r="B5" s="29" t="s">
        <v>4</v>
      </c>
      <c r="C5" s="30"/>
      <c r="D5" s="29" t="s">
        <v>5</v>
      </c>
      <c r="E5" s="30"/>
      <c r="F5" s="29" t="s">
        <v>6</v>
      </c>
      <c r="G5" s="30"/>
      <c r="H5" s="29" t="s">
        <v>7</v>
      </c>
      <c r="I5" s="30"/>
      <c r="J5" s="29" t="s">
        <v>8</v>
      </c>
      <c r="K5" s="30"/>
      <c r="L5" s="29" t="s">
        <v>9</v>
      </c>
      <c r="M5" s="30"/>
      <c r="N5" s="29" t="s">
        <v>10</v>
      </c>
      <c r="O5" s="30"/>
      <c r="P5" s="29" t="s">
        <v>11</v>
      </c>
      <c r="Q5" s="30"/>
      <c r="R5" s="31" t="s">
        <v>12</v>
      </c>
      <c r="S5" s="32"/>
      <c r="T5" s="31" t="s">
        <v>13</v>
      </c>
      <c r="U5" s="32"/>
      <c r="V5" s="31" t="s">
        <v>14</v>
      </c>
      <c r="W5" s="32"/>
      <c r="X5" s="31" t="s">
        <v>15</v>
      </c>
      <c r="Y5" s="32"/>
      <c r="Z5" s="33" t="s">
        <v>3</v>
      </c>
      <c r="AA5" s="33"/>
    </row>
    <row r="6" spans="1:27">
      <c r="A6" s="3"/>
      <c r="B6" s="4" t="s">
        <v>16</v>
      </c>
      <c r="C6" s="4"/>
      <c r="D6" s="4" t="s">
        <v>16</v>
      </c>
      <c r="E6" s="4"/>
      <c r="F6" s="4" t="s">
        <v>16</v>
      </c>
      <c r="G6" s="4"/>
      <c r="H6" s="4" t="s">
        <v>16</v>
      </c>
      <c r="I6" s="4"/>
      <c r="J6" s="4" t="s">
        <v>16</v>
      </c>
      <c r="K6" s="4"/>
      <c r="L6" s="4" t="s">
        <v>16</v>
      </c>
      <c r="M6" s="4"/>
      <c r="N6" s="4" t="s">
        <v>16</v>
      </c>
      <c r="O6" s="4"/>
      <c r="P6" s="4" t="s">
        <v>16</v>
      </c>
      <c r="Q6" s="4"/>
      <c r="R6" s="4" t="s">
        <v>16</v>
      </c>
      <c r="S6" s="4"/>
      <c r="T6" s="4" t="s">
        <v>16</v>
      </c>
      <c r="U6" s="4"/>
      <c r="V6" s="4" t="s">
        <v>16</v>
      </c>
      <c r="W6" s="4"/>
      <c r="X6" s="4" t="s">
        <v>16</v>
      </c>
      <c r="Y6" s="4"/>
      <c r="Z6" s="4" t="s">
        <v>16</v>
      </c>
      <c r="AA6" s="4"/>
    </row>
    <row r="7" spans="1:27">
      <c r="A7" s="10">
        <v>44562</v>
      </c>
      <c r="B7" s="11">
        <f>3208.95-13.15</f>
        <v>3195.7999999999997</v>
      </c>
      <c r="C7" s="7"/>
      <c r="D7" s="12">
        <f>3850.75-654.75</f>
        <v>3196</v>
      </c>
      <c r="E7" s="6"/>
      <c r="F7" s="12">
        <f>3850.75-84.35</f>
        <v>3766.4</v>
      </c>
      <c r="G7" s="7"/>
      <c r="H7" s="12">
        <f>3850.75-19.15</f>
        <v>3831.6</v>
      </c>
      <c r="I7" s="7"/>
      <c r="J7" s="12">
        <f>3850.75-21.75</f>
        <v>3829</v>
      </c>
      <c r="K7" s="7"/>
      <c r="L7" s="12">
        <f>3850.75-60.75</f>
        <v>3790</v>
      </c>
      <c r="M7" s="6"/>
      <c r="N7" s="12">
        <f>3850.75-163.75</f>
        <v>3687</v>
      </c>
      <c r="O7" s="7"/>
      <c r="P7" s="12">
        <f>3850.75-148.95</f>
        <v>3701.8</v>
      </c>
      <c r="Q7" s="7"/>
      <c r="R7" s="12">
        <f>3850.75+2.25</f>
        <v>3853</v>
      </c>
      <c r="S7" s="13"/>
      <c r="T7" s="12">
        <f>3850.75-10.75</f>
        <v>3840</v>
      </c>
      <c r="U7" s="7"/>
      <c r="V7" s="7">
        <v>0</v>
      </c>
      <c r="W7" s="7"/>
      <c r="X7" s="6">
        <f>5134.3-821.3</f>
        <v>4313</v>
      </c>
      <c r="Y7" s="7"/>
      <c r="Z7" s="5">
        <f t="shared" ref="Z7:Z23" si="0">B7+D7+F7+H7+J7+L7+N7+P7+R7+T7+X7+AD7+V7</f>
        <v>41003.599999999999</v>
      </c>
      <c r="AA7" s="5"/>
    </row>
    <row r="8" spans="1:27">
      <c r="A8" s="10">
        <v>44593</v>
      </c>
      <c r="B8" s="11">
        <f>3208.95+13.15-19.5</f>
        <v>3202.6</v>
      </c>
      <c r="C8" s="7"/>
      <c r="D8" s="12">
        <f>3850.75+654.75-220.5</f>
        <v>4285</v>
      </c>
      <c r="E8" s="6"/>
      <c r="F8" s="12">
        <f>3850.75+84.35-98.7</f>
        <v>3836.4</v>
      </c>
      <c r="G8" s="7"/>
      <c r="H8" s="12">
        <f>3850.75+19.15-213.1</f>
        <v>3656.8</v>
      </c>
      <c r="I8" s="7"/>
      <c r="J8" s="12">
        <f>3850.75+21.75-38.5</f>
        <v>3834</v>
      </c>
      <c r="K8" s="7"/>
      <c r="L8" s="12">
        <f>3850.75+60.75-61.5</f>
        <v>3850</v>
      </c>
      <c r="M8" s="6"/>
      <c r="N8" s="12">
        <f>3850.75+163.75-439.5</f>
        <v>3575</v>
      </c>
      <c r="O8" s="7"/>
      <c r="P8" s="12">
        <f>3850.75+148.95-156.7</f>
        <v>3843</v>
      </c>
      <c r="Q8" s="7"/>
      <c r="R8" s="12">
        <f>3850.75-2.25-12.5</f>
        <v>3836</v>
      </c>
      <c r="S8" s="7"/>
      <c r="T8" s="12">
        <f>3850.75+10.75-30.5</f>
        <v>3831</v>
      </c>
      <c r="U8" s="7"/>
      <c r="V8" s="7">
        <v>0</v>
      </c>
      <c r="W8" s="7"/>
      <c r="X8" s="6">
        <f>5134.3+821.3-815.6</f>
        <v>5140</v>
      </c>
      <c r="Y8" s="9"/>
      <c r="Z8" s="5">
        <f t="shared" si="0"/>
        <v>42889.8</v>
      </c>
      <c r="AA8" s="5"/>
    </row>
    <row r="9" spans="1:27">
      <c r="A9" s="10">
        <v>44621</v>
      </c>
      <c r="B9" s="11">
        <f>3208.95+19.5-15.85</f>
        <v>3212.6</v>
      </c>
      <c r="C9" s="11"/>
      <c r="D9" s="12">
        <f>3850.75+220.5-16.25</f>
        <v>4055</v>
      </c>
      <c r="E9" s="6"/>
      <c r="F9" s="12">
        <f>3850.75+98.7-6.85</f>
        <v>3942.6</v>
      </c>
      <c r="G9" s="7"/>
      <c r="H9" s="12">
        <f>3850.75+213.1-36.25</f>
        <v>4027.6</v>
      </c>
      <c r="I9" s="9"/>
      <c r="J9" s="12">
        <f>3850.75+38.5-6.25</f>
        <v>3883</v>
      </c>
      <c r="K9" s="7"/>
      <c r="L9" s="12">
        <f>3850.75+61.5-62.25</f>
        <v>3850</v>
      </c>
      <c r="M9" s="6"/>
      <c r="N9" s="12">
        <f>3850.75+439.5-112.25</f>
        <v>4178</v>
      </c>
      <c r="O9" s="7"/>
      <c r="P9" s="12">
        <f>3850.75+156.7-192.85</f>
        <v>3814.6</v>
      </c>
      <c r="Q9" s="7"/>
      <c r="R9" s="12">
        <f>3850.75+12.5-38.25</f>
        <v>3825</v>
      </c>
      <c r="S9" s="7"/>
      <c r="T9" s="12">
        <f>3850.75+30.5-12.25</f>
        <v>3869</v>
      </c>
      <c r="U9" s="7"/>
      <c r="V9" s="7">
        <v>0</v>
      </c>
      <c r="W9" s="7"/>
      <c r="X9" s="6">
        <f>5134.3+815.6-140.9</f>
        <v>5809.0000000000009</v>
      </c>
      <c r="Y9" s="9"/>
      <c r="Z9" s="5">
        <f t="shared" si="0"/>
        <v>44466.400000000001</v>
      </c>
      <c r="AA9" s="5"/>
    </row>
    <row r="10" spans="1:27">
      <c r="A10" s="14" t="s">
        <v>17</v>
      </c>
      <c r="B10" s="15">
        <f>SUM(B7:B9)</f>
        <v>9611</v>
      </c>
      <c r="C10" s="15"/>
      <c r="D10" s="15">
        <f t="shared" ref="D10:X10" si="1">SUM(D7:D9)</f>
        <v>11536</v>
      </c>
      <c r="E10" s="15"/>
      <c r="F10" s="15">
        <f t="shared" si="1"/>
        <v>11545.4</v>
      </c>
      <c r="G10" s="15"/>
      <c r="H10" s="15">
        <f t="shared" si="1"/>
        <v>11516</v>
      </c>
      <c r="I10" s="15"/>
      <c r="J10" s="15">
        <f t="shared" si="1"/>
        <v>11546</v>
      </c>
      <c r="K10" s="15"/>
      <c r="L10" s="15">
        <f t="shared" si="1"/>
        <v>11490</v>
      </c>
      <c r="M10" s="15"/>
      <c r="N10" s="15">
        <f t="shared" si="1"/>
        <v>11440</v>
      </c>
      <c r="O10" s="15"/>
      <c r="P10" s="15">
        <f t="shared" si="1"/>
        <v>11359.4</v>
      </c>
      <c r="Q10" s="15"/>
      <c r="R10" s="15">
        <f t="shared" si="1"/>
        <v>11514</v>
      </c>
      <c r="S10" s="15"/>
      <c r="T10" s="15">
        <f t="shared" si="1"/>
        <v>11540</v>
      </c>
      <c r="U10" s="15"/>
      <c r="V10" s="15">
        <f t="shared" si="1"/>
        <v>0</v>
      </c>
      <c r="W10" s="15"/>
      <c r="X10" s="15">
        <f t="shared" si="1"/>
        <v>15262</v>
      </c>
      <c r="Y10" s="16"/>
      <c r="Z10" s="17">
        <f t="shared" si="0"/>
        <v>128359.79999999999</v>
      </c>
      <c r="AA10" s="17"/>
    </row>
    <row r="11" spans="1:27">
      <c r="A11" s="10">
        <v>44652</v>
      </c>
      <c r="B11" s="6">
        <f>4029.86 +78.06-25.92</f>
        <v>4082</v>
      </c>
      <c r="C11" s="6"/>
      <c r="D11" s="12">
        <f>4835.82+93.69-21.51</f>
        <v>4907.9999999999991</v>
      </c>
      <c r="E11" s="6"/>
      <c r="F11" s="12">
        <f>4835.82+93.69-46.51</f>
        <v>4882.9999999999991</v>
      </c>
      <c r="G11" s="6"/>
      <c r="H11" s="12">
        <f>4835.82+93.69-59.51</f>
        <v>4869.9999999999991</v>
      </c>
      <c r="I11" s="6"/>
      <c r="J11" s="12">
        <f>4835.82+93.69-78.51</f>
        <v>4850.9999999999991</v>
      </c>
      <c r="K11" s="6"/>
      <c r="L11" s="12">
        <f>4835.82-75.82</f>
        <v>4760</v>
      </c>
      <c r="M11" s="6"/>
      <c r="N11" s="12">
        <f>4835.82+42.18</f>
        <v>4878</v>
      </c>
      <c r="O11" s="18"/>
      <c r="P11" s="12">
        <f>4835.82-50.82</f>
        <v>4785</v>
      </c>
      <c r="Q11" s="6"/>
      <c r="R11" s="12">
        <f>4835.82+93.69-23.51</f>
        <v>4905.9999999999991</v>
      </c>
      <c r="S11" s="6"/>
      <c r="T11" s="12">
        <f>4835.82+93.69-20.51</f>
        <v>4908.9999999999991</v>
      </c>
      <c r="U11" s="6"/>
      <c r="V11" s="6">
        <v>0</v>
      </c>
      <c r="W11" s="6"/>
      <c r="X11" s="7">
        <f>6447.76-35.76</f>
        <v>6412</v>
      </c>
      <c r="Y11" s="6"/>
      <c r="Z11" s="5">
        <f t="shared" si="0"/>
        <v>54244</v>
      </c>
      <c r="AA11" s="5"/>
    </row>
    <row r="12" spans="1:27">
      <c r="A12" s="19" t="s">
        <v>22</v>
      </c>
      <c r="B12" s="6">
        <f>4029.86+25.92-171.78</f>
        <v>3884</v>
      </c>
      <c r="C12" s="6"/>
      <c r="D12" s="12">
        <f>4835.82+21.51-412.33</f>
        <v>4445</v>
      </c>
      <c r="E12" s="6"/>
      <c r="F12" s="12">
        <f>4835.82+46.51-7.33</f>
        <v>4875</v>
      </c>
      <c r="G12" s="6"/>
      <c r="H12" s="12">
        <f>4835.82+59.51-27.33</f>
        <v>4868</v>
      </c>
      <c r="I12" s="6"/>
      <c r="J12" s="12">
        <f>4835.82+78.51-44.33</f>
        <v>4870</v>
      </c>
      <c r="K12" s="6"/>
      <c r="L12" s="12">
        <f>4835.82+75.82+128.36</f>
        <v>5039.9999999999991</v>
      </c>
      <c r="M12" s="18"/>
      <c r="N12" s="12">
        <f>4835.82-42.18-124.64</f>
        <v>4668.9999999999991</v>
      </c>
      <c r="O12" s="6"/>
      <c r="P12" s="12">
        <f>4835.82+50.82-0.64</f>
        <v>4885.9999999999991</v>
      </c>
      <c r="Q12" s="6"/>
      <c r="R12" s="12">
        <f>4835.82+23.51+9.67</f>
        <v>4869</v>
      </c>
      <c r="S12" s="13"/>
      <c r="T12" s="12">
        <f>4835.82+20.51-332.33</f>
        <v>4524</v>
      </c>
      <c r="U12" s="6"/>
      <c r="V12" s="6">
        <v>0</v>
      </c>
      <c r="W12" s="6"/>
      <c r="X12" s="7">
        <f>6447.76+35.76-6.52</f>
        <v>6477</v>
      </c>
      <c r="Y12" s="6"/>
      <c r="Z12" s="5">
        <f t="shared" si="0"/>
        <v>53407</v>
      </c>
      <c r="AA12" s="5"/>
    </row>
    <row r="13" spans="1:27">
      <c r="A13" s="10">
        <v>44713</v>
      </c>
      <c r="B13" s="6">
        <f>3955.21+171.78-303.99</f>
        <v>3823</v>
      </c>
      <c r="C13" s="6"/>
      <c r="D13" s="7">
        <f>4746.27+412.33-0.6</f>
        <v>5158</v>
      </c>
      <c r="E13" s="6"/>
      <c r="F13" s="7">
        <f>4746.27+7.33-46.6</f>
        <v>4707</v>
      </c>
      <c r="G13" s="6"/>
      <c r="H13" s="7">
        <f>4746.27+27.33-67.6</f>
        <v>4706</v>
      </c>
      <c r="I13" s="6"/>
      <c r="J13" s="7">
        <f>4746.27+44.33-110.6</f>
        <v>4680</v>
      </c>
      <c r="K13" s="6"/>
      <c r="L13" s="7">
        <f>4746.27-128.36-137.91</f>
        <v>4480.0000000000009</v>
      </c>
      <c r="M13" s="6"/>
      <c r="N13" s="7">
        <f>4746.27+124.64-171.91</f>
        <v>4699.0000000000009</v>
      </c>
      <c r="O13" s="6"/>
      <c r="P13" s="7">
        <f>4746.27+0.64-7.91</f>
        <v>4739.0000000000009</v>
      </c>
      <c r="Q13" s="6"/>
      <c r="R13" s="7">
        <f>4746.27-9.67-560.6</f>
        <v>4176</v>
      </c>
      <c r="S13" s="6"/>
      <c r="T13" s="7">
        <f>4746.27+332.33-170.6</f>
        <v>4908</v>
      </c>
      <c r="U13" s="6"/>
      <c r="V13" s="6">
        <v>0</v>
      </c>
      <c r="W13" s="6"/>
      <c r="X13" s="7">
        <f>6328.36+6.52-42.88</f>
        <v>6292</v>
      </c>
      <c r="Y13" s="6"/>
      <c r="Z13" s="5">
        <f t="shared" si="0"/>
        <v>52368</v>
      </c>
      <c r="AA13" s="5"/>
    </row>
    <row r="14" spans="1:27">
      <c r="A14" s="14" t="s">
        <v>18</v>
      </c>
      <c r="B14" s="15">
        <f>B11+B12+B13</f>
        <v>11789</v>
      </c>
      <c r="C14" s="15"/>
      <c r="D14" s="15">
        <f>D11+D12+D13</f>
        <v>14511</v>
      </c>
      <c r="E14" s="15"/>
      <c r="F14" s="15">
        <f>F11+F12+F13</f>
        <v>14465</v>
      </c>
      <c r="G14" s="15"/>
      <c r="H14" s="15">
        <f>H11+H12+H13</f>
        <v>14444</v>
      </c>
      <c r="I14" s="15"/>
      <c r="J14" s="15">
        <f>J11+J12+J13</f>
        <v>14401</v>
      </c>
      <c r="K14" s="15"/>
      <c r="L14" s="15">
        <f>L11+L12+L13</f>
        <v>14280</v>
      </c>
      <c r="M14" s="15"/>
      <c r="N14" s="15">
        <f>N11+N12+N13</f>
        <v>14246</v>
      </c>
      <c r="O14" s="15"/>
      <c r="P14" s="15">
        <f>P11+P12+P13</f>
        <v>14410</v>
      </c>
      <c r="Q14" s="15"/>
      <c r="R14" s="15">
        <f>R11+R12+R13</f>
        <v>13951</v>
      </c>
      <c r="S14" s="15"/>
      <c r="T14" s="15">
        <f>T11+T12+T13</f>
        <v>14341</v>
      </c>
      <c r="U14" s="15"/>
      <c r="V14" s="15">
        <f>V11+V12+V13</f>
        <v>0</v>
      </c>
      <c r="W14" s="15"/>
      <c r="X14" s="15">
        <f>X11+X12+X13</f>
        <v>19181</v>
      </c>
      <c r="Y14" s="15"/>
      <c r="Z14" s="17">
        <f t="shared" si="0"/>
        <v>160019</v>
      </c>
      <c r="AA14" s="17"/>
    </row>
    <row r="15" spans="1:27">
      <c r="A15" s="10">
        <v>44743</v>
      </c>
      <c r="B15" s="6">
        <f>3955.21-144.21</f>
        <v>3811</v>
      </c>
      <c r="C15" s="20"/>
      <c r="D15" s="12">
        <f>4746.27+405.3-269.57</f>
        <v>4882.0000000000009</v>
      </c>
      <c r="E15" s="20"/>
      <c r="F15" s="12">
        <f>4746.27+405.3-409.77</f>
        <v>4741.8000000000011</v>
      </c>
      <c r="G15" s="20"/>
      <c r="H15" s="12">
        <f>4746.27+13.73</f>
        <v>4760</v>
      </c>
      <c r="I15" s="21"/>
      <c r="J15" s="11">
        <f>4746.27-13.27</f>
        <v>4733</v>
      </c>
      <c r="K15" s="22"/>
      <c r="L15" s="11">
        <f>4746.27+405.3-251.57</f>
        <v>4900.0000000000009</v>
      </c>
      <c r="M15" s="22"/>
      <c r="N15" s="11">
        <f>4746.27+36.73</f>
        <v>4783</v>
      </c>
      <c r="O15" s="21"/>
      <c r="P15" s="11">
        <f>4746.27+405.3-10.57</f>
        <v>5141.0000000000009</v>
      </c>
      <c r="Q15" s="20"/>
      <c r="R15" s="12">
        <f>4746.27-179.27</f>
        <v>4567</v>
      </c>
      <c r="S15" s="20"/>
      <c r="T15" s="12">
        <f>4746.27-63.27</f>
        <v>4683</v>
      </c>
      <c r="U15" s="7"/>
      <c r="V15" s="7">
        <v>0</v>
      </c>
      <c r="W15" s="7"/>
      <c r="X15" s="7">
        <f>6328.36-148.36</f>
        <v>6180</v>
      </c>
      <c r="Y15" s="20"/>
      <c r="Z15" s="5">
        <f t="shared" si="0"/>
        <v>53181.8</v>
      </c>
      <c r="AA15" s="5"/>
    </row>
    <row r="16" spans="1:27">
      <c r="A16" s="10">
        <v>44774</v>
      </c>
      <c r="B16" s="6">
        <f>3955.21+144.21-215.42</f>
        <v>3884</v>
      </c>
      <c r="C16" s="6"/>
      <c r="D16" s="7">
        <f>4746.27+269.57+0.16</f>
        <v>5016</v>
      </c>
      <c r="E16" s="23"/>
      <c r="F16" s="7">
        <f>4746.27+409.77-9.04</f>
        <v>5147.0000000000009</v>
      </c>
      <c r="G16" s="6"/>
      <c r="H16" s="7">
        <f>4746.27-13.73-386.54</f>
        <v>4346.0000000000009</v>
      </c>
      <c r="I16" s="7"/>
      <c r="J16" s="7">
        <f>4746.27+13.27-34.54</f>
        <v>4725.0000000000009</v>
      </c>
      <c r="K16" s="7"/>
      <c r="L16" s="7">
        <f>4746.27+251.57+42.16</f>
        <v>5040</v>
      </c>
      <c r="M16" s="18"/>
      <c r="N16" s="7">
        <f>4746.27-36.73-83.54</f>
        <v>4626.0000000000009</v>
      </c>
      <c r="O16" s="6"/>
      <c r="P16" s="7">
        <f>4746.27+10.57-167.84</f>
        <v>4589</v>
      </c>
      <c r="Q16" s="7"/>
      <c r="R16" s="7">
        <f>4746.27+179.27-24.54</f>
        <v>4901.0000000000009</v>
      </c>
      <c r="S16" s="7"/>
      <c r="T16" s="7">
        <f>4746.27+63.27+0.46</f>
        <v>4810.0000000000009</v>
      </c>
      <c r="U16" s="18"/>
      <c r="V16" s="6">
        <v>0</v>
      </c>
      <c r="W16" s="6"/>
      <c r="X16" s="7">
        <f>6328.36+148.36-122.72</f>
        <v>6353.9999999999991</v>
      </c>
      <c r="Y16" s="7"/>
      <c r="Z16" s="5">
        <f t="shared" si="0"/>
        <v>53438</v>
      </c>
      <c r="AA16" s="5"/>
    </row>
    <row r="17" spans="1:27">
      <c r="A17" s="10">
        <v>44805</v>
      </c>
      <c r="B17" s="6">
        <v>3986</v>
      </c>
      <c r="C17" s="11"/>
      <c r="D17" s="7">
        <v>4824</v>
      </c>
      <c r="E17" s="6"/>
      <c r="F17" s="7">
        <v>4710</v>
      </c>
      <c r="G17" s="11"/>
      <c r="H17" s="12">
        <v>5187</v>
      </c>
      <c r="I17" s="7"/>
      <c r="J17" s="12">
        <v>4797</v>
      </c>
      <c r="K17" s="7"/>
      <c r="L17" s="12">
        <v>4760</v>
      </c>
      <c r="M17" s="7"/>
      <c r="N17" s="12">
        <v>4910</v>
      </c>
      <c r="O17" s="7"/>
      <c r="P17" s="12">
        <v>4987</v>
      </c>
      <c r="Q17" s="7"/>
      <c r="R17" s="12">
        <v>4824</v>
      </c>
      <c r="S17" s="7"/>
      <c r="T17" s="12">
        <v>4835</v>
      </c>
      <c r="U17" s="7"/>
      <c r="V17" s="7">
        <v>0</v>
      </c>
      <c r="W17" s="7"/>
      <c r="X17" s="7">
        <v>6536</v>
      </c>
      <c r="Y17" s="7"/>
      <c r="Z17" s="5">
        <f t="shared" si="0"/>
        <v>54356</v>
      </c>
      <c r="AA17" s="5"/>
    </row>
    <row r="18" spans="1:27">
      <c r="A18" s="14" t="s">
        <v>19</v>
      </c>
      <c r="B18" s="15">
        <f>B15+B16+B17</f>
        <v>11681</v>
      </c>
      <c r="C18" s="15"/>
      <c r="D18" s="15">
        <f t="shared" ref="D18:X18" si="2">D15+D16+D17</f>
        <v>14722</v>
      </c>
      <c r="E18" s="15"/>
      <c r="F18" s="15">
        <f t="shared" si="2"/>
        <v>14598.800000000003</v>
      </c>
      <c r="G18" s="15"/>
      <c r="H18" s="15">
        <f t="shared" si="2"/>
        <v>14293</v>
      </c>
      <c r="I18" s="15"/>
      <c r="J18" s="15">
        <f t="shared" si="2"/>
        <v>14255</v>
      </c>
      <c r="K18" s="15"/>
      <c r="L18" s="15">
        <f t="shared" si="2"/>
        <v>14700</v>
      </c>
      <c r="M18" s="15"/>
      <c r="N18" s="15">
        <f t="shared" si="2"/>
        <v>14319</v>
      </c>
      <c r="O18" s="15"/>
      <c r="P18" s="15">
        <f t="shared" si="2"/>
        <v>14717</v>
      </c>
      <c r="Q18" s="15"/>
      <c r="R18" s="15">
        <f t="shared" si="2"/>
        <v>14292</v>
      </c>
      <c r="S18" s="15"/>
      <c r="T18" s="15">
        <f t="shared" si="2"/>
        <v>14328</v>
      </c>
      <c r="U18" s="15"/>
      <c r="V18" s="15">
        <f t="shared" si="2"/>
        <v>0</v>
      </c>
      <c r="W18" s="15"/>
      <c r="X18" s="15">
        <f t="shared" si="2"/>
        <v>19070</v>
      </c>
      <c r="Y18" s="15"/>
      <c r="Z18" s="17">
        <f t="shared" si="0"/>
        <v>160975.79999999999</v>
      </c>
      <c r="AA18" s="17"/>
    </row>
    <row r="19" spans="1:27">
      <c r="A19" s="10">
        <v>44835</v>
      </c>
      <c r="B19" s="6">
        <v>4299</v>
      </c>
      <c r="C19" s="8"/>
      <c r="D19" s="8">
        <v>5049</v>
      </c>
      <c r="E19" s="18"/>
      <c r="F19" s="8">
        <v>5127</v>
      </c>
      <c r="G19" s="8"/>
      <c r="H19" s="12">
        <v>5233</v>
      </c>
      <c r="I19" s="8"/>
      <c r="J19" s="12">
        <v>5219</v>
      </c>
      <c r="K19" s="8"/>
      <c r="L19" s="12">
        <v>5600</v>
      </c>
      <c r="M19" s="18"/>
      <c r="N19" s="12">
        <v>5222</v>
      </c>
      <c r="O19" s="8"/>
      <c r="P19" s="12">
        <v>5219</v>
      </c>
      <c r="Q19" s="8"/>
      <c r="R19" s="12">
        <v>5062</v>
      </c>
      <c r="S19" s="9"/>
      <c r="T19" s="12">
        <v>5203</v>
      </c>
      <c r="U19" s="6"/>
      <c r="V19" s="6">
        <v>273</v>
      </c>
      <c r="W19" s="6"/>
      <c r="X19" s="7">
        <v>6926</v>
      </c>
      <c r="Y19" s="8"/>
      <c r="Z19" s="5">
        <f t="shared" si="0"/>
        <v>58432</v>
      </c>
      <c r="AA19" s="5"/>
    </row>
    <row r="20" spans="1:27">
      <c r="A20" s="19">
        <v>44866</v>
      </c>
      <c r="B20" s="6">
        <v>4106</v>
      </c>
      <c r="C20" s="8"/>
      <c r="D20" s="8">
        <v>5008</v>
      </c>
      <c r="E20" s="24"/>
      <c r="F20" s="8">
        <v>5043</v>
      </c>
      <c r="G20" s="25"/>
      <c r="H20" s="8">
        <v>5036</v>
      </c>
      <c r="I20" s="8"/>
      <c r="J20" s="8">
        <v>5080</v>
      </c>
      <c r="K20" s="8"/>
      <c r="L20" s="8">
        <v>5180</v>
      </c>
      <c r="M20" s="18"/>
      <c r="N20" s="8">
        <v>5074</v>
      </c>
      <c r="O20" s="8"/>
      <c r="P20" s="8">
        <v>5059</v>
      </c>
      <c r="Q20" s="8"/>
      <c r="R20" s="8">
        <v>4596</v>
      </c>
      <c r="S20" s="26"/>
      <c r="T20" s="8">
        <v>5035</v>
      </c>
      <c r="U20" s="8"/>
      <c r="V20" s="8">
        <v>2059</v>
      </c>
      <c r="W20" s="8"/>
      <c r="X20" s="7">
        <v>6376</v>
      </c>
      <c r="Y20" s="8"/>
      <c r="Z20" s="5">
        <f t="shared" si="0"/>
        <v>57652</v>
      </c>
      <c r="AA20" s="5"/>
    </row>
    <row r="21" spans="1:27">
      <c r="A21" s="10">
        <v>44896</v>
      </c>
      <c r="B21" s="7">
        <v>3889.78</v>
      </c>
      <c r="C21" s="8"/>
      <c r="D21" s="8">
        <v>4842.0200000000004</v>
      </c>
      <c r="E21" s="8"/>
      <c r="F21" s="8">
        <v>4667.7700000000004</v>
      </c>
      <c r="G21" s="8"/>
      <c r="H21" s="8">
        <v>4667.75</v>
      </c>
      <c r="I21" s="8"/>
      <c r="J21" s="8">
        <v>4841.99</v>
      </c>
      <c r="K21" s="8"/>
      <c r="L21" s="8">
        <v>4378.72</v>
      </c>
      <c r="M21" s="8"/>
      <c r="N21" s="8">
        <v>4841.99</v>
      </c>
      <c r="O21" s="8"/>
      <c r="P21" s="8">
        <v>4841.99</v>
      </c>
      <c r="Q21" s="8"/>
      <c r="R21" s="8">
        <v>4667.75</v>
      </c>
      <c r="S21" s="9"/>
      <c r="T21" s="8">
        <v>4667.75</v>
      </c>
      <c r="U21" s="7"/>
      <c r="V21" s="7">
        <v>3030.17</v>
      </c>
      <c r="W21" s="7"/>
      <c r="X21" s="7">
        <v>6223.72</v>
      </c>
      <c r="Y21" s="8"/>
      <c r="Z21" s="5">
        <f t="shared" si="0"/>
        <v>55561.399999999994</v>
      </c>
      <c r="AA21" s="5"/>
    </row>
    <row r="22" spans="1:27" ht="26.25">
      <c r="A22" s="27" t="s">
        <v>20</v>
      </c>
      <c r="B22" s="15">
        <f>B19+B20+B21</f>
        <v>12294.78</v>
      </c>
      <c r="C22" s="15"/>
      <c r="D22" s="15">
        <f t="shared" ref="D22:X22" si="3">D19+D20+D21</f>
        <v>14899.02</v>
      </c>
      <c r="E22" s="15"/>
      <c r="F22" s="15">
        <f t="shared" si="3"/>
        <v>14837.77</v>
      </c>
      <c r="G22" s="15"/>
      <c r="H22" s="15">
        <f t="shared" si="3"/>
        <v>14936.75</v>
      </c>
      <c r="I22" s="15"/>
      <c r="J22" s="15">
        <f t="shared" si="3"/>
        <v>15140.99</v>
      </c>
      <c r="K22" s="15"/>
      <c r="L22" s="15">
        <f t="shared" si="3"/>
        <v>15158.720000000001</v>
      </c>
      <c r="M22" s="15"/>
      <c r="N22" s="15">
        <f t="shared" si="3"/>
        <v>15137.99</v>
      </c>
      <c r="O22" s="15"/>
      <c r="P22" s="15">
        <f t="shared" si="3"/>
        <v>15119.99</v>
      </c>
      <c r="Q22" s="15"/>
      <c r="R22" s="15">
        <f t="shared" si="3"/>
        <v>14325.75</v>
      </c>
      <c r="S22" s="15"/>
      <c r="T22" s="15">
        <f t="shared" si="3"/>
        <v>14905.75</v>
      </c>
      <c r="U22" s="15"/>
      <c r="V22" s="15">
        <f t="shared" si="3"/>
        <v>5362.17</v>
      </c>
      <c r="W22" s="15"/>
      <c r="X22" s="15">
        <f t="shared" si="3"/>
        <v>19525.72</v>
      </c>
      <c r="Y22" s="15"/>
      <c r="Z22" s="17">
        <f t="shared" si="0"/>
        <v>171645.40000000002</v>
      </c>
      <c r="AA22" s="17"/>
    </row>
    <row r="23" spans="1:27" ht="26.25">
      <c r="A23" s="28" t="s">
        <v>21</v>
      </c>
      <c r="B23" s="15">
        <f>B10+B14+B18+B22</f>
        <v>45375.78</v>
      </c>
      <c r="C23" s="15"/>
      <c r="D23" s="15">
        <f>D10+D14+D18+D22</f>
        <v>55668.020000000004</v>
      </c>
      <c r="E23" s="15"/>
      <c r="F23" s="15">
        <f>F10+F14+F18+F22</f>
        <v>55446.97</v>
      </c>
      <c r="G23" s="15"/>
      <c r="H23" s="15">
        <f>H10+H14+H18+H22</f>
        <v>55189.75</v>
      </c>
      <c r="I23" s="15"/>
      <c r="J23" s="15">
        <f>J10+J14+J18+J22</f>
        <v>55342.99</v>
      </c>
      <c r="K23" s="15"/>
      <c r="L23" s="15">
        <f>L10+L14+L18+L22</f>
        <v>55628.72</v>
      </c>
      <c r="M23" s="15"/>
      <c r="N23" s="15">
        <f>N10+N14+N18+N22</f>
        <v>55142.99</v>
      </c>
      <c r="O23" s="15"/>
      <c r="P23" s="15">
        <f>P10+P14+P18+P22</f>
        <v>55606.39</v>
      </c>
      <c r="Q23" s="15"/>
      <c r="R23" s="15">
        <f>R10+R14+R18+R22</f>
        <v>54082.75</v>
      </c>
      <c r="S23" s="15"/>
      <c r="T23" s="15">
        <f>T10+T14+T18+T22</f>
        <v>55114.75</v>
      </c>
      <c r="U23" s="15"/>
      <c r="V23" s="15">
        <f>V10+V14+V18+V22</f>
        <v>5362.17</v>
      </c>
      <c r="W23" s="15"/>
      <c r="X23" s="15">
        <f>X10+X14+X18+X22</f>
        <v>73038.720000000001</v>
      </c>
      <c r="Y23" s="15"/>
      <c r="Z23" s="17">
        <f t="shared" si="0"/>
        <v>621000</v>
      </c>
      <c r="AA23" s="17"/>
    </row>
  </sheetData>
  <mergeCells count="16">
    <mergeCell ref="Z5:AA5"/>
    <mergeCell ref="A4:A5"/>
    <mergeCell ref="B4:Y4"/>
    <mergeCell ref="Z4:AA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2022-12-21T10:54:05Z</dcterms:modified>
</cp:coreProperties>
</file>